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<sst xmlns="http://schemas.openxmlformats.org/spreadsheetml/2006/main" count="123" uniqueCount="102">
  <si>
    <t>Bilkalkyl leasing allt ingår utom bränsle</t>
  </si>
  <si>
    <t>SAMMANFATTNING</t>
  </si>
  <si>
    <t>Kalkyl ver 5 160412</t>
  </si>
  <si>
    <t>ANALYSRESULTAT</t>
  </si>
  <si>
    <t>Delanalyser kopiera  o klistra in innehåll</t>
  </si>
  <si>
    <t>GRUNDUPPGIFTER</t>
  </si>
  <si>
    <t>KÖRDA MIL PER ÅR</t>
  </si>
  <si>
    <t>res för ev fel i formler</t>
  </si>
  <si>
    <t>BILKALKYL</t>
  </si>
  <si>
    <t>Olika avstånd till arbetsplats</t>
  </si>
  <si>
    <t>Börja med att fylla i grunduppgifter i blåa rutor nedan</t>
  </si>
  <si>
    <t>Bladet skyddat bara blå rutor kan fyllas i</t>
  </si>
  <si>
    <t>Leasingavtal mil per år</t>
  </si>
  <si>
    <t>1,1mil</t>
  </si>
  <si>
    <t>0,5mil</t>
  </si>
  <si>
    <t>Grundavtal leasing</t>
  </si>
  <si>
    <t>KÖRDA MIL PRIVAT  PER ÅR</t>
  </si>
  <si>
    <t>Copyright Bengt Agert</t>
  </si>
  <si>
    <t>mil</t>
  </si>
  <si>
    <t>kr/mån</t>
  </si>
  <si>
    <t>Omräkning högre milavtal</t>
  </si>
  <si>
    <t>Egna mil utöver till jobb</t>
  </si>
  <si>
    <t>sker automatiskt</t>
  </si>
  <si>
    <t>KÖRDA MIL TJÄNST  PER ÅR</t>
  </si>
  <si>
    <t>Mil i jobb</t>
  </si>
  <si>
    <t>leasingkostn grund</t>
  </si>
  <si>
    <t>enl nedan</t>
  </si>
  <si>
    <t>AVDRAG  ARBETSRESOR</t>
  </si>
  <si>
    <t>bränslekostnad</t>
  </si>
  <si>
    <t>Över/undermil kr/mil</t>
  </si>
  <si>
    <t>18,5/mil -10000</t>
  </si>
  <si>
    <t>utlägg varje månad</t>
  </si>
  <si>
    <t>mermil</t>
  </si>
  <si>
    <t>mindre mil</t>
  </si>
  <si>
    <t>utökade mil</t>
  </si>
  <si>
    <t>reseräkning</t>
  </si>
  <si>
    <t>Netto utlägg/mån</t>
  </si>
  <si>
    <t>Bränslekostnad</t>
  </si>
  <si>
    <t>Egna mil utöver tor jobb per år</t>
  </si>
  <si>
    <t>Bilen körs mil/år</t>
  </si>
  <si>
    <t>Bensinpris</t>
  </si>
  <si>
    <t>bränsleförbr</t>
  </si>
  <si>
    <t>kostn</t>
  </si>
  <si>
    <t>Antal övermil per år</t>
  </si>
  <si>
    <t>övermil/år</t>
  </si>
  <si>
    <t>kr/lit</t>
  </si>
  <si>
    <t>lit/mil</t>
  </si>
  <si>
    <t>kr/mil</t>
  </si>
  <si>
    <t>Kostövermil/mån</t>
  </si>
  <si>
    <t>reseräkning/mån avdrag</t>
  </si>
  <si>
    <t>Skatteåterb /mån</t>
  </si>
  <si>
    <t>Grunduppgifter använda bilen</t>
  </si>
  <si>
    <t>skatteåterbäring/mån avdrag</t>
  </si>
  <si>
    <t>Bilkostn/mån</t>
  </si>
  <si>
    <t>miltilägg/mån</t>
  </si>
  <si>
    <t>ÅRSKOSTNAD</t>
  </si>
  <si>
    <t>Netto Bilkostn/mån</t>
  </si>
  <si>
    <t>Resor till arbetet</t>
  </si>
  <si>
    <t>Att betala vid återlämnande bilen</t>
  </si>
  <si>
    <t>Bil i tjänst dagar per år</t>
  </si>
  <si>
    <t>Minst 160 för skatteavdrag </t>
  </si>
  <si>
    <t>Betalar skatteåterbäring mermil?</t>
  </si>
  <si>
    <t>Kostn mermil 3år </t>
  </si>
  <si>
    <t>Totalt mil i tjänst</t>
  </si>
  <si>
    <t>Minst 300  för skatteavdrag</t>
  </si>
  <si>
    <t>3 årSkatteåterbäring</t>
  </si>
  <si>
    <t>Reseresättning kr/mil</t>
  </si>
  <si>
    <t>Pengar över</t>
  </si>
  <si>
    <t>Resor privat utöver till arbetet</t>
  </si>
  <si>
    <t>Kostnad för egna mermil</t>
  </si>
  <si>
    <t>mil/år</t>
  </si>
  <si>
    <t>Bilen rullar per månad</t>
  </si>
  <si>
    <t>Betalar skatteavdrag reseersättning mermilen?</t>
  </si>
  <si>
    <t>avst till arbete</t>
  </si>
  <si>
    <t>Totalt</t>
  </si>
  <si>
    <t>Leasingavtal mil</t>
  </si>
  <si>
    <t>arbdagar/vecka</t>
  </si>
  <si>
    <t>Tjänsteresor</t>
  </si>
  <si>
    <t>körda mil/år</t>
  </si>
  <si>
    <t>veckor per år</t>
  </si>
  <si>
    <t>Privat</t>
  </si>
  <si>
    <t>Till jobbet per år</t>
  </si>
  <si>
    <t> privat exkl resor tor arbete</t>
  </si>
  <si>
    <t>merkostn övermil/år</t>
  </si>
  <si>
    <t>Skatteavdrag?</t>
  </si>
  <si>
    <t>avdr jobbresa/år</t>
  </si>
  <si>
    <t>Marginalskatt</t>
  </si>
  <si>
    <t>Överskott  Kr/år</t>
  </si>
  <si>
    <t>reseräkn /år</t>
  </si>
  <si>
    <t>Grundvärden för VW Polo</t>
  </si>
  <si>
    <t>överskott per år</t>
  </si>
  <si>
    <t>Parkeringskostnader på arbetet tillkommer som bilkostnad</t>
  </si>
  <si>
    <t>Parkeringskostnader  när bilen används i jobbet avgår då i reseräkning</t>
  </si>
  <si>
    <t>med5,5kr/mil</t>
  </si>
  <si>
    <t>Versioner</t>
  </si>
  <si>
    <t>Ändrat när</t>
  </si>
  <si>
    <t>Version 1-4</t>
  </si>
  <si>
    <t>redaktionella ändringar</t>
  </si>
  <si>
    <t>Mars-april16</t>
  </si>
  <si>
    <t>Version 5</t>
  </si>
  <si>
    <t>skatteavdrag fast inställt  för marginalskatt 32% i räkningarna  nu rättat och kopplat till inmatningsruta</t>
  </si>
  <si>
    <t>12april16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</si>
</sst>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0.00%"/>
    <numFmt numFmtId="168" formatCode="0%"/>
    <numFmt numFmtId="169" formatCode="YYYY/MM/DD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33FF99"/>
      </patternFill>
    </fill>
    <fill>
      <patternFill patternType="solid">
        <fgColor rgb="FFFFFF00"/>
        <bgColor rgb="FFFFFF00"/>
      </patternFill>
    </fill>
    <fill>
      <patternFill patternType="solid">
        <fgColor rgb="FF33FF99"/>
        <bgColor rgb="FF66FF99"/>
      </patternFill>
    </fill>
    <fill>
      <patternFill patternType="solid">
        <fgColor rgb="FF66FFFF"/>
        <bgColor rgb="FF66FF99"/>
      </patternFill>
    </fill>
    <fill>
      <patternFill patternType="solid">
        <fgColor rgb="FFFFFF66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66FF99"/>
        <bgColor rgb="FF33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66FF99"/>
      <rgbColor rgb="FFFFFF66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2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E35" activeCellId="0" sqref="E35"/>
    </sheetView>
  </sheetViews>
  <sheetFormatPr defaultRowHeight="12.8"/>
  <cols>
    <col collapsed="false" hidden="false" max="1" min="1" style="0" width="20.7908163265306"/>
    <col collapsed="false" hidden="false" max="2" min="2" style="1" width="10.1224489795918"/>
    <col collapsed="false" hidden="false" max="3" min="3" style="0" width="15.6581632653061"/>
    <col collapsed="false" hidden="false" max="4" min="4" style="0" width="13.6326530612245"/>
    <col collapsed="false" hidden="false" max="5" min="5" style="0" width="24.9744897959184"/>
    <col collapsed="false" hidden="false" max="6" min="6" style="0" width="9.85204081632653"/>
    <col collapsed="false" hidden="false" max="7" min="7" style="0" width="9.98979591836735"/>
    <col collapsed="false" hidden="false" max="8" min="8" style="0" width="11.6071428571429"/>
    <col collapsed="false" hidden="false" max="9" min="9" style="1" width="17.5510204081633"/>
    <col collapsed="false" hidden="false" max="10" min="10" style="1" width="9.04591836734694"/>
    <col collapsed="false" hidden="false" max="11" min="11" style="1" width="9.85204081632653"/>
    <col collapsed="false" hidden="false" max="12" min="12" style="0" width="8.36734693877551"/>
    <col collapsed="false" hidden="false" max="13" min="13" style="0" width="9.31632653061224"/>
    <col collapsed="false" hidden="false" max="14" min="14" style="0" width="9.71938775510204"/>
    <col collapsed="false" hidden="false" max="1025" min="15" style="0" width="8.36734693877551"/>
  </cols>
  <sheetData>
    <row r="1" customFormat="false" ht="12.8" hidden="false" customHeight="false" outlineLevel="0" collapsed="false">
      <c r="A1" s="2" t="s">
        <v>0</v>
      </c>
      <c r="B1" s="0"/>
      <c r="E1" s="3" t="s">
        <v>1</v>
      </c>
      <c r="F1" s="4" t="s">
        <v>2</v>
      </c>
      <c r="G1" s="5"/>
      <c r="H1" s="6"/>
      <c r="I1" s="3" t="s">
        <v>3</v>
      </c>
      <c r="J1" s="0"/>
      <c r="K1" s="0"/>
      <c r="M1" s="2" t="s">
        <v>4</v>
      </c>
    </row>
    <row r="2" customFormat="false" ht="12.8" hidden="false" customHeight="false" outlineLevel="0" collapsed="false">
      <c r="A2" s="7" t="s">
        <v>5</v>
      </c>
      <c r="B2" s="0"/>
      <c r="E2" s="8" t="s">
        <v>6</v>
      </c>
      <c r="F2" s="9" t="s">
        <v>7</v>
      </c>
      <c r="G2" s="10"/>
      <c r="H2" s="11"/>
      <c r="I2" s="12" t="s">
        <v>8</v>
      </c>
      <c r="J2" s="0"/>
      <c r="K2" s="0"/>
      <c r="M2" s="13" t="s">
        <v>9</v>
      </c>
      <c r="N2" s="14"/>
      <c r="O2" s="14"/>
      <c r="P2" s="15"/>
    </row>
    <row r="3" customFormat="false" ht="12.8" hidden="false" customHeight="false" outlineLevel="0" collapsed="false">
      <c r="A3" s="3" t="s">
        <v>10</v>
      </c>
      <c r="B3" s="16"/>
      <c r="C3" s="16"/>
      <c r="D3" s="16"/>
      <c r="E3" s="17" t="n">
        <f aca="false">B30+B21+B25</f>
        <v>2020</v>
      </c>
      <c r="F3" s="18" t="s">
        <v>11</v>
      </c>
      <c r="G3" s="19"/>
      <c r="H3" s="20"/>
      <c r="I3" s="0"/>
      <c r="J3" s="21" t="s">
        <v>12</v>
      </c>
      <c r="K3" s="0"/>
      <c r="M3" s="22" t="s">
        <v>13</v>
      </c>
      <c r="N3" s="23" t="s">
        <v>14</v>
      </c>
      <c r="O3" s="23"/>
      <c r="P3" s="24"/>
    </row>
    <row r="4" customFormat="false" ht="12.8" hidden="false" customHeight="false" outlineLevel="0" collapsed="false">
      <c r="A4" s="2" t="s">
        <v>15</v>
      </c>
      <c r="B4" s="0"/>
      <c r="E4" s="25" t="s">
        <v>16</v>
      </c>
      <c r="F4" s="26" t="s">
        <v>17</v>
      </c>
      <c r="G4" s="27"/>
      <c r="H4" s="27"/>
      <c r="I4" s="28" t="str">
        <f aca="false">CONCATENATE(B27,A5,A27)</f>
        <v>2milavst till arbete</v>
      </c>
      <c r="J4" s="29" t="n">
        <v>1500</v>
      </c>
      <c r="K4" s="29" t="n">
        <v>2000</v>
      </c>
      <c r="L4" s="30" t="n">
        <v>2500</v>
      </c>
      <c r="M4" s="22" t="n">
        <v>2000</v>
      </c>
      <c r="N4" s="23" t="n">
        <v>2000</v>
      </c>
      <c r="O4" s="31"/>
      <c r="P4" s="32"/>
      <c r="Q4" s="33"/>
    </row>
    <row r="5" customFormat="false" ht="12.8" hidden="false" customHeight="false" outlineLevel="0" collapsed="false">
      <c r="A5" s="34" t="s">
        <v>18</v>
      </c>
      <c r="B5" s="35" t="s">
        <v>19</v>
      </c>
      <c r="C5" s="0" t="s">
        <v>20</v>
      </c>
      <c r="E5" s="17" t="n">
        <f aca="false">B30+B25</f>
        <v>1670</v>
      </c>
      <c r="F5" s="33"/>
      <c r="I5" s="36" t="s">
        <v>21</v>
      </c>
      <c r="J5" s="37" t="n">
        <f aca="false">B25</f>
        <v>750</v>
      </c>
      <c r="K5" s="38" t="n">
        <f aca="false">J5</f>
        <v>750</v>
      </c>
      <c r="L5" s="39" t="n">
        <f aca="false">K5</f>
        <v>750</v>
      </c>
      <c r="M5" s="40" t="n">
        <v>750</v>
      </c>
      <c r="N5" s="31" t="n">
        <v>750</v>
      </c>
      <c r="O5" s="31"/>
      <c r="P5" s="32"/>
      <c r="Q5" s="33"/>
    </row>
    <row r="6" customFormat="false" ht="12.8" hidden="false" customHeight="false" outlineLevel="0" collapsed="false">
      <c r="A6" s="41" t="n">
        <v>1500</v>
      </c>
      <c r="B6" s="42" t="n">
        <v>2500</v>
      </c>
      <c r="C6" s="0" t="s">
        <v>22</v>
      </c>
      <c r="E6" s="25" t="s">
        <v>23</v>
      </c>
      <c r="I6" s="36" t="s">
        <v>24</v>
      </c>
      <c r="J6" s="37" t="n">
        <f aca="false">B21</f>
        <v>350</v>
      </c>
      <c r="K6" s="38" t="n">
        <f aca="false">J6</f>
        <v>350</v>
      </c>
      <c r="L6" s="39" t="n">
        <f aca="false">K6</f>
        <v>350</v>
      </c>
      <c r="M6" s="40" t="n">
        <v>310</v>
      </c>
      <c r="N6" s="31" t="n">
        <v>310</v>
      </c>
      <c r="O6" s="31"/>
      <c r="P6" s="32"/>
      <c r="Q6" s="33"/>
    </row>
    <row r="7" customFormat="false" ht="12.8" hidden="false" customHeight="false" outlineLevel="0" collapsed="false">
      <c r="A7" s="41" t="n">
        <v>2000</v>
      </c>
      <c r="B7" s="43" t="n">
        <f aca="false">B6+(C11*500)/12</f>
        <v>2750</v>
      </c>
      <c r="C7" s="0" t="str">
        <f aca="false">CONCATENATE("med",D9,C11 , "kr/mil "  )</f>
        <v>med6kr/mil</v>
      </c>
      <c r="E7" s="17" t="n">
        <f aca="false">B21</f>
        <v>350</v>
      </c>
      <c r="I7" s="36" t="s">
        <v>25</v>
      </c>
      <c r="J7" s="37" t="n">
        <f aca="false">B6</f>
        <v>2500</v>
      </c>
      <c r="K7" s="44" t="n">
        <f aca="false">B7</f>
        <v>2750</v>
      </c>
      <c r="L7" s="45" t="n">
        <f aca="false">B8</f>
        <v>3000</v>
      </c>
      <c r="M7" s="46" t="n">
        <v>2729.16666666667</v>
      </c>
      <c r="N7" s="47" t="n">
        <v>2729.16666666667</v>
      </c>
      <c r="O7" s="31"/>
      <c r="P7" s="32"/>
      <c r="Q7" s="33"/>
    </row>
    <row r="8" customFormat="false" ht="12.8" hidden="false" customHeight="false" outlineLevel="0" collapsed="false">
      <c r="A8" s="48" t="n">
        <v>2500</v>
      </c>
      <c r="B8" s="49" t="n">
        <f aca="false">B7+(C11*500)/12</f>
        <v>3000</v>
      </c>
      <c r="C8" s="0" t="s">
        <v>26</v>
      </c>
      <c r="E8" s="25" t="s">
        <v>27</v>
      </c>
      <c r="F8" s="33"/>
      <c r="H8" s="2"/>
      <c r="I8" s="36" t="s">
        <v>28</v>
      </c>
      <c r="J8" s="50" t="n">
        <f aca="false">E3*$C$15/12</f>
        <v>1313</v>
      </c>
      <c r="K8" s="51" t="n">
        <f aca="false">J8</f>
        <v>1313</v>
      </c>
      <c r="L8" s="52" t="n">
        <f aca="false">K8</f>
        <v>1313</v>
      </c>
      <c r="M8" s="46" t="n">
        <v>1018</v>
      </c>
      <c r="N8" s="47" t="n">
        <v>839</v>
      </c>
      <c r="O8" s="31"/>
      <c r="P8" s="32"/>
      <c r="Q8" s="33"/>
    </row>
    <row r="9" customFormat="false" ht="12.8" hidden="false" customHeight="false" outlineLevel="0" collapsed="false">
      <c r="A9" s="2" t="s">
        <v>29</v>
      </c>
      <c r="B9" s="0"/>
      <c r="E9" s="17" t="n">
        <f aca="false">IF(B31="ja",B30*18.5-10000,0)</f>
        <v>7020</v>
      </c>
      <c r="F9" s="33" t="s">
        <v>30</v>
      </c>
      <c r="I9" s="53" t="s">
        <v>31</v>
      </c>
      <c r="J9" s="54" t="n">
        <f aca="false">J7+J8</f>
        <v>3813</v>
      </c>
      <c r="K9" s="55" t="n">
        <f aca="false">K7+K8</f>
        <v>4063</v>
      </c>
      <c r="L9" s="56" t="n">
        <f aca="false">L7+L8</f>
        <v>4313</v>
      </c>
      <c r="M9" s="57" t="n">
        <v>3747</v>
      </c>
      <c r="N9" s="58" t="n">
        <v>3568</v>
      </c>
      <c r="O9" s="31"/>
      <c r="P9" s="32"/>
      <c r="Q9" s="33"/>
    </row>
    <row r="10" customFormat="false" ht="12.8" hidden="false" customHeight="false" outlineLevel="0" collapsed="false">
      <c r="A10" s="59" t="s">
        <v>32</v>
      </c>
      <c r="B10" s="60" t="s">
        <v>33</v>
      </c>
      <c r="C10" s="61" t="s">
        <v>34</v>
      </c>
      <c r="E10" s="62" t="n">
        <f aca="false">B32*E9</f>
        <v>2246.4</v>
      </c>
      <c r="F10" s="63" t="str">
        <f aca="false">IF(B31="JA",IF(B32=0.32,"Skatteavdrag 32% 20000/MÅN",CONCATENATE("Skatteavdrag" ,D9,B32)),"")</f>
        <v>Skatteavdrag 32% 20000/MÅN</v>
      </c>
      <c r="I10" s="36" t="s">
        <v>35</v>
      </c>
      <c r="J10" s="64" t="n">
        <f aca="false">J33/12</f>
        <v>539.583333333333</v>
      </c>
      <c r="K10" s="44" t="n">
        <f aca="false">J10</f>
        <v>539.583333333333</v>
      </c>
      <c r="L10" s="45" t="n">
        <f aca="false">K10</f>
        <v>539.583333333333</v>
      </c>
      <c r="M10" s="46" t="n">
        <v>478</v>
      </c>
      <c r="N10" s="47" t="n">
        <v>478</v>
      </c>
      <c r="O10" s="31"/>
      <c r="P10" s="32"/>
      <c r="Q10" s="33"/>
    </row>
    <row r="11" customFormat="false" ht="12.8" hidden="false" customHeight="false" outlineLevel="0" collapsed="false">
      <c r="A11" s="65" t="n">
        <v>7.5</v>
      </c>
      <c r="B11" s="66" t="n">
        <v>3.5</v>
      </c>
      <c r="C11" s="67" t="n">
        <v>6</v>
      </c>
      <c r="E11" s="2"/>
      <c r="I11" s="68" t="s">
        <v>36</v>
      </c>
      <c r="J11" s="54" t="n">
        <f aca="false">J9-J10</f>
        <v>3273.41666666667</v>
      </c>
      <c r="K11" s="55" t="n">
        <f aca="false">K9-K10</f>
        <v>3523.41666666667</v>
      </c>
      <c r="L11" s="69" t="n">
        <f aca="false">L9-L10</f>
        <v>3773.41666666667</v>
      </c>
      <c r="M11" s="46" t="n">
        <v>3269</v>
      </c>
      <c r="N11" s="47" t="n">
        <v>3090</v>
      </c>
      <c r="O11" s="31"/>
      <c r="P11" s="32"/>
      <c r="Q11" s="33"/>
    </row>
    <row r="12" customFormat="false" ht="12.8" hidden="false" customHeight="false" outlineLevel="0" collapsed="false">
      <c r="A12" s="2" t="s">
        <v>37</v>
      </c>
      <c r="B12" s="0"/>
      <c r="E12" s="70" t="s">
        <v>38</v>
      </c>
      <c r="F12" s="71" t="n">
        <f aca="false">B25</f>
        <v>750</v>
      </c>
      <c r="I12" s="36" t="s">
        <v>39</v>
      </c>
      <c r="J12" s="37" t="n">
        <f aca="false">E3</f>
        <v>2020</v>
      </c>
      <c r="K12" s="38" t="n">
        <f aca="false">J12</f>
        <v>2020</v>
      </c>
      <c r="L12" s="39" t="n">
        <f aca="false">K12</f>
        <v>2020</v>
      </c>
      <c r="M12" s="46" t="n">
        <v>1566</v>
      </c>
      <c r="N12" s="47" t="n">
        <v>1290</v>
      </c>
      <c r="O12" s="31"/>
      <c r="P12" s="32"/>
      <c r="Q12" s="33"/>
    </row>
    <row r="13" customFormat="false" ht="12.8" hidden="false" customHeight="false" outlineLevel="0" collapsed="false">
      <c r="A13" s="70" t="s">
        <v>40</v>
      </c>
      <c r="B13" s="72" t="s">
        <v>41</v>
      </c>
      <c r="C13" s="73" t="s">
        <v>42</v>
      </c>
      <c r="E13" s="36" t="s">
        <v>43</v>
      </c>
      <c r="F13" s="39" t="n">
        <f aca="false">K13</f>
        <v>20</v>
      </c>
      <c r="I13" s="74" t="s">
        <v>44</v>
      </c>
      <c r="J13" s="37" t="n">
        <f aca="false">$E$3-J4</f>
        <v>520</v>
      </c>
      <c r="K13" s="38" t="n">
        <f aca="false">$E$3-K4</f>
        <v>20</v>
      </c>
      <c r="L13" s="39" t="n">
        <f aca="false">$E$3-L4</f>
        <v>-480</v>
      </c>
      <c r="M13" s="46" t="n">
        <v>-434</v>
      </c>
      <c r="N13" s="47" t="n">
        <v>-710</v>
      </c>
      <c r="O13" s="31"/>
      <c r="P13" s="32"/>
      <c r="Q13" s="33"/>
    </row>
    <row r="14" customFormat="false" ht="12.8" hidden="false" customHeight="false" outlineLevel="0" collapsed="false">
      <c r="A14" s="74" t="s">
        <v>45</v>
      </c>
      <c r="B14" s="75" t="s">
        <v>46</v>
      </c>
      <c r="C14" s="76" t="s">
        <v>47</v>
      </c>
      <c r="E14" s="53" t="str">
        <f aca="false">I9</f>
        <v>utlägg varje månad</v>
      </c>
      <c r="F14" s="77" t="n">
        <f aca="false">K9</f>
        <v>4063</v>
      </c>
      <c r="I14" s="74" t="s">
        <v>48</v>
      </c>
      <c r="J14" s="64" t="n">
        <f aca="false">IF(J13&gt;0,J13*$A$11/12,J13*$B$11/12)</f>
        <v>325</v>
      </c>
      <c r="K14" s="44" t="n">
        <f aca="false">IF(K13&gt;0,K13*$A$11/12,K13*$B$11/12)</f>
        <v>12.5</v>
      </c>
      <c r="L14" s="45" t="n">
        <f aca="false">IF(L13&gt;0,L13*$A$11/12,L13*$B$11/12)</f>
        <v>-140</v>
      </c>
      <c r="M14" s="46" t="n">
        <v>-127</v>
      </c>
      <c r="N14" s="47" t="n">
        <v>-207</v>
      </c>
      <c r="O14" s="31"/>
      <c r="P14" s="32"/>
      <c r="Q14" s="33"/>
    </row>
    <row r="15" customFormat="false" ht="12.8" hidden="false" customHeight="false" outlineLevel="0" collapsed="false">
      <c r="A15" s="65" t="n">
        <v>13</v>
      </c>
      <c r="B15" s="66" t="n">
        <v>0.6</v>
      </c>
      <c r="C15" s="78" t="n">
        <f aca="false">A15*B15</f>
        <v>7.8</v>
      </c>
      <c r="E15" s="36" t="s">
        <v>49</v>
      </c>
      <c r="F15" s="45" t="n">
        <f aca="false">J10</f>
        <v>539.583333333333</v>
      </c>
      <c r="I15" s="36" t="s">
        <v>50</v>
      </c>
      <c r="J15" s="64" t="n">
        <f aca="false">IF($B$31="JA",E10/12,0)</f>
        <v>187.2</v>
      </c>
      <c r="K15" s="44" t="n">
        <f aca="false">J15</f>
        <v>187.2</v>
      </c>
      <c r="L15" s="45" t="n">
        <f aca="false">K14:K15</f>
        <v>187.2</v>
      </c>
      <c r="M15" s="46" t="n">
        <v>0</v>
      </c>
      <c r="N15" s="47" t="n">
        <v>0</v>
      </c>
      <c r="O15" s="31"/>
      <c r="P15" s="32"/>
      <c r="Q15" s="33"/>
    </row>
    <row r="16" customFormat="false" ht="12.8" hidden="false" customHeight="false" outlineLevel="0" collapsed="false">
      <c r="A16" s="2" t="s">
        <v>51</v>
      </c>
      <c r="B16" s="0"/>
      <c r="E16" s="36" t="s">
        <v>52</v>
      </c>
      <c r="F16" s="45" t="n">
        <f aca="false">J15</f>
        <v>187.2</v>
      </c>
      <c r="I16" s="79" t="s">
        <v>53</v>
      </c>
      <c r="J16" s="80" t="n">
        <f aca="false">J11+J14-J15</f>
        <v>3411.21666666667</v>
      </c>
      <c r="K16" s="80" t="n">
        <f aca="false">K11+K14-K15</f>
        <v>3348.71666666667</v>
      </c>
      <c r="L16" s="81" t="n">
        <f aca="false">L11+L14-L15</f>
        <v>3446.21666666667</v>
      </c>
      <c r="M16" s="46" t="n">
        <v>3143</v>
      </c>
      <c r="N16" s="47" t="n">
        <v>2883</v>
      </c>
      <c r="O16" s="31"/>
      <c r="P16" s="32"/>
      <c r="Q16" s="33"/>
    </row>
    <row r="17" customFormat="false" ht="12.8" hidden="false" customHeight="false" outlineLevel="0" collapsed="false">
      <c r="B17" s="0"/>
      <c r="E17" s="36" t="s">
        <v>54</v>
      </c>
      <c r="F17" s="45" t="n">
        <f aca="false">K14</f>
        <v>12.5</v>
      </c>
      <c r="I17" s="82" t="s">
        <v>55</v>
      </c>
      <c r="J17" s="50" t="n">
        <f aca="false">J16*12</f>
        <v>40934.6</v>
      </c>
      <c r="K17" s="51" t="n">
        <f aca="false">K16*12</f>
        <v>40184.6</v>
      </c>
      <c r="L17" s="52" t="n">
        <f aca="false">L16*12</f>
        <v>41354.6</v>
      </c>
      <c r="M17" s="46" t="n">
        <v>37711</v>
      </c>
      <c r="N17" s="47" t="n">
        <v>34592</v>
      </c>
      <c r="O17" s="31"/>
      <c r="P17" s="32"/>
      <c r="Q17" s="33"/>
    </row>
    <row r="18" customFormat="false" ht="12.8" hidden="false" customHeight="false" outlineLevel="0" collapsed="false">
      <c r="B18" s="0"/>
      <c r="E18" s="83" t="s">
        <v>56</v>
      </c>
      <c r="F18" s="84" t="n">
        <f aca="false">F14-F15-F16+F17</f>
        <v>3348.71666666667</v>
      </c>
      <c r="I18" s="36"/>
      <c r="J18" s="0"/>
      <c r="K18" s="0"/>
      <c r="L18" s="85"/>
      <c r="M18" s="46"/>
      <c r="N18" s="47"/>
      <c r="O18" s="31"/>
      <c r="P18" s="32"/>
      <c r="Q18" s="33"/>
    </row>
    <row r="19" customFormat="false" ht="12.8" hidden="false" customHeight="false" outlineLevel="0" collapsed="false">
      <c r="A19" s="86" t="s">
        <v>57</v>
      </c>
      <c r="B19" s="87"/>
      <c r="I19" s="82" t="s">
        <v>58</v>
      </c>
      <c r="J19" s="0"/>
      <c r="K19" s="0"/>
      <c r="L19" s="85"/>
      <c r="M19" s="46"/>
      <c r="N19" s="47"/>
      <c r="O19" s="31"/>
      <c r="P19" s="32"/>
      <c r="Q19" s="33"/>
    </row>
    <row r="20" customFormat="false" ht="12.8" hidden="false" customHeight="false" outlineLevel="0" collapsed="false">
      <c r="A20" s="70" t="s">
        <v>59</v>
      </c>
      <c r="B20" s="88" t="n">
        <v>160</v>
      </c>
      <c r="C20" s="2" t="s">
        <v>60</v>
      </c>
      <c r="E20" s="28" t="s">
        <v>61</v>
      </c>
      <c r="F20" s="89"/>
      <c r="I20" s="82" t="s">
        <v>62</v>
      </c>
      <c r="J20" s="37" t="n">
        <f aca="false">3*J13*$A$11</f>
        <v>11700</v>
      </c>
      <c r="K20" s="38" t="n">
        <f aca="false">3*K13*$A$11</f>
        <v>450</v>
      </c>
      <c r="L20" s="39" t="n">
        <f aca="false">3*L13*$A$11</f>
        <v>-10800</v>
      </c>
      <c r="M20" s="46" t="n">
        <v>-9765</v>
      </c>
      <c r="N20" s="47" t="n">
        <v>-15975</v>
      </c>
      <c r="O20" s="31"/>
      <c r="P20" s="32"/>
      <c r="Q20" s="33"/>
    </row>
    <row r="21" customFormat="false" ht="12.8" hidden="false" customHeight="false" outlineLevel="0" collapsed="false">
      <c r="A21" s="90" t="s">
        <v>63</v>
      </c>
      <c r="B21" s="42" t="n">
        <v>350</v>
      </c>
      <c r="C21" s="2" t="s">
        <v>64</v>
      </c>
      <c r="E21" s="91" t="str">
        <f aca="false">I20</f>
        <v>Kostn mermil 3år</v>
      </c>
      <c r="F21" s="39" t="n">
        <f aca="false">K20</f>
        <v>450</v>
      </c>
      <c r="I21" s="82" t="s">
        <v>65</v>
      </c>
      <c r="J21" s="50" t="n">
        <f aca="false">E10*3</f>
        <v>6739.2</v>
      </c>
      <c r="K21" s="51" t="n">
        <f aca="false">J21</f>
        <v>6739.2</v>
      </c>
      <c r="L21" s="52" t="n">
        <f aca="false">K21</f>
        <v>6739.2</v>
      </c>
      <c r="M21" s="46" t="n">
        <v>0</v>
      </c>
      <c r="N21" s="47" t="n">
        <v>0</v>
      </c>
      <c r="O21" s="31"/>
      <c r="P21" s="32"/>
    </row>
    <row r="22" customFormat="false" ht="12.8" hidden="false" customHeight="false" outlineLevel="0" collapsed="false">
      <c r="A22" s="86" t="s">
        <v>66</v>
      </c>
      <c r="B22" s="67" t="n">
        <v>18.5</v>
      </c>
      <c r="E22" s="91" t="str">
        <f aca="false">I21</f>
        <v>3 årSkatteåterbäring</v>
      </c>
      <c r="F22" s="45" t="n">
        <f aca="false">K21</f>
        <v>6739.2</v>
      </c>
      <c r="I22" s="92" t="s">
        <v>67</v>
      </c>
      <c r="J22" s="93" t="n">
        <f aca="false">J21-J20</f>
        <v>-4960.8</v>
      </c>
      <c r="K22" s="94" t="n">
        <f aca="false">K21-K20</f>
        <v>6289.2</v>
      </c>
      <c r="L22" s="95" t="n">
        <f aca="false">L21-L20</f>
        <v>17539.2</v>
      </c>
      <c r="M22" s="96" t="n">
        <v>9765</v>
      </c>
      <c r="N22" s="97" t="n">
        <v>15975</v>
      </c>
      <c r="O22" s="98"/>
      <c r="P22" s="99"/>
    </row>
    <row r="23" customFormat="false" ht="12.8" hidden="false" customHeight="false" outlineLevel="0" collapsed="false">
      <c r="B23" s="0"/>
      <c r="E23" s="90" t="str">
        <f aca="false">IF(F23&gt;0,"Pengar över","Fattas pengar")</f>
        <v>Pengar över</v>
      </c>
      <c r="F23" s="100" t="n">
        <f aca="false">K22</f>
        <v>6289.2</v>
      </c>
      <c r="I23" s="0"/>
      <c r="J23" s="0"/>
      <c r="K23" s="0"/>
    </row>
    <row r="24" customFormat="false" ht="12.8" hidden="false" customHeight="false" outlineLevel="0" collapsed="false">
      <c r="A24" s="28" t="s">
        <v>68</v>
      </c>
      <c r="B24" s="101"/>
      <c r="C24" s="89"/>
      <c r="I24" s="2" t="s">
        <v>69</v>
      </c>
      <c r="J24" s="0"/>
      <c r="K24" s="102" t="str">
        <f aca="false">CONCATENATE(C15+A11," kr/mil")</f>
        <v>15,3 kr/mil</v>
      </c>
      <c r="L24" s="2" t="str">
        <f aca="false">CONCATENATE("varav",A11,"kr/mil för övermil")</f>
        <v>varav7,5kr/mil för övermil</v>
      </c>
    </row>
    <row r="25" customFormat="false" ht="12.8" hidden="false" customHeight="false" outlineLevel="0" collapsed="false">
      <c r="A25" s="90" t="s">
        <v>70</v>
      </c>
      <c r="B25" s="66" t="n">
        <v>750</v>
      </c>
      <c r="C25" s="103"/>
      <c r="I25" s="2"/>
      <c r="J25" s="0"/>
      <c r="K25" s="104"/>
      <c r="L25" s="104"/>
    </row>
    <row r="26" customFormat="false" ht="12.8" hidden="false" customHeight="false" outlineLevel="0" collapsed="false">
      <c r="A26" s="28" t="s">
        <v>57</v>
      </c>
      <c r="B26" s="72"/>
      <c r="C26" s="89"/>
      <c r="E26" s="105" t="s">
        <v>71</v>
      </c>
      <c r="F26" s="106"/>
      <c r="I26" s="21" t="s">
        <v>72</v>
      </c>
      <c r="J26" s="21"/>
      <c r="K26" s="0"/>
      <c r="L26" s="75"/>
    </row>
    <row r="27" customFormat="false" ht="12.8" hidden="false" customHeight="false" outlineLevel="0" collapsed="false">
      <c r="A27" s="36" t="s">
        <v>73</v>
      </c>
      <c r="B27" s="107" t="n">
        <v>2</v>
      </c>
      <c r="C27" s="85" t="s">
        <v>18</v>
      </c>
      <c r="E27" s="108" t="s">
        <v>74</v>
      </c>
      <c r="F27" s="77" t="n">
        <f aca="false">E3/12</f>
        <v>168.333333333333</v>
      </c>
      <c r="I27" s="70" t="s">
        <v>75</v>
      </c>
      <c r="J27" s="29" t="n">
        <v>1500</v>
      </c>
      <c r="K27" s="109" t="n">
        <v>2000</v>
      </c>
      <c r="L27" s="30" t="n">
        <v>2500</v>
      </c>
    </row>
    <row r="28" customFormat="false" ht="12.8" hidden="false" customHeight="false" outlineLevel="0" collapsed="false">
      <c r="A28" s="36" t="s">
        <v>76</v>
      </c>
      <c r="B28" s="107" t="n">
        <v>5</v>
      </c>
      <c r="C28" s="85"/>
      <c r="E28" s="108" t="s">
        <v>77</v>
      </c>
      <c r="F28" s="77" t="n">
        <f aca="false">B21/12</f>
        <v>29.1666666666667</v>
      </c>
      <c r="I28" s="110" t="s">
        <v>78</v>
      </c>
      <c r="J28" s="37" t="n">
        <f aca="false">E3</f>
        <v>2020</v>
      </c>
      <c r="K28" s="38" t="n">
        <f aca="false">J28</f>
        <v>2020</v>
      </c>
      <c r="L28" s="39" t="n">
        <f aca="false">K28</f>
        <v>2020</v>
      </c>
    </row>
    <row r="29" customFormat="false" ht="12.8" hidden="false" customHeight="false" outlineLevel="0" collapsed="false">
      <c r="A29" s="36" t="s">
        <v>79</v>
      </c>
      <c r="B29" s="107" t="n">
        <v>46</v>
      </c>
      <c r="C29" s="85"/>
      <c r="E29" s="108" t="s">
        <v>80</v>
      </c>
      <c r="F29" s="77" t="n">
        <f aca="false">F27-F28</f>
        <v>139.166666666667</v>
      </c>
      <c r="I29" s="110" t="s">
        <v>44</v>
      </c>
      <c r="J29" s="37" t="n">
        <f aca="false">J28-J27</f>
        <v>520</v>
      </c>
      <c r="K29" s="38" t="n">
        <f aca="false">K28-K27</f>
        <v>20</v>
      </c>
      <c r="L29" s="39" t="n">
        <f aca="false">L28-L27</f>
        <v>-480</v>
      </c>
    </row>
    <row r="30" customFormat="false" ht="12.8" hidden="false" customHeight="false" outlineLevel="0" collapsed="false">
      <c r="A30" s="90" t="s">
        <v>81</v>
      </c>
      <c r="B30" s="111" t="n">
        <f aca="false">B27*B28*B29*2</f>
        <v>920</v>
      </c>
      <c r="C30" s="112" t="s">
        <v>70</v>
      </c>
      <c r="E30" s="113" t="s">
        <v>82</v>
      </c>
      <c r="F30" s="84" t="n">
        <f aca="false">B25/12</f>
        <v>62.5</v>
      </c>
      <c r="I30" s="114" t="s">
        <v>83</v>
      </c>
      <c r="J30" s="115" t="n">
        <f aca="false">J29*$A$11</f>
        <v>3900</v>
      </c>
      <c r="K30" s="115" t="n">
        <f aca="false">K29*$A$11</f>
        <v>150</v>
      </c>
      <c r="L30" s="116" t="n">
        <f aca="false">L29*$A$11</f>
        <v>-3600</v>
      </c>
    </row>
    <row r="31" customFormat="false" ht="12.8" hidden="false" customHeight="false" outlineLevel="0" collapsed="false">
      <c r="A31" s="86" t="s">
        <v>84</v>
      </c>
      <c r="B31" s="117" t="str">
        <f aca="false">IF(B20&lt;160,"NEJ",IF(B21&lt;300,"NEJ",IF(B30*18.5-10000&gt;0,"JA","NEJ") ))</f>
        <v>JA</v>
      </c>
      <c r="C31" s="118" t="str">
        <f aca="false">IF(B20&lt;160,"LITE DAG TJÄNST",IF(B21&lt;300,"LITEMIL TJÄNST",""))</f>
        <v/>
      </c>
      <c r="I31" s="110" t="s">
        <v>85</v>
      </c>
      <c r="J31" s="64" t="n">
        <f aca="false">E10</f>
        <v>2246.4</v>
      </c>
      <c r="K31" s="44" t="n">
        <f aca="false">J31</f>
        <v>2246.4</v>
      </c>
      <c r="L31" s="45" t="n">
        <f aca="false">K31</f>
        <v>2246.4</v>
      </c>
    </row>
    <row r="32" customFormat="false" ht="12.8" hidden="false" customHeight="false" outlineLevel="0" collapsed="false">
      <c r="A32" s="86" t="s">
        <v>86</v>
      </c>
      <c r="B32" s="119" t="n">
        <v>0.32</v>
      </c>
      <c r="C32" s="33"/>
      <c r="I32" s="120" t="s">
        <v>87</v>
      </c>
      <c r="J32" s="121" t="n">
        <f aca="false">-J30+J31</f>
        <v>-1653.6</v>
      </c>
      <c r="K32" s="121" t="n">
        <f aca="false">-K30+K31</f>
        <v>2096.4</v>
      </c>
      <c r="L32" s="122" t="n">
        <f aca="false">-L30+L31</f>
        <v>5846.4</v>
      </c>
      <c r="M32" s="2"/>
    </row>
    <row r="33" customFormat="false" ht="12.8" hidden="false" customHeight="false" outlineLevel="0" collapsed="false">
      <c r="B33" s="0"/>
      <c r="I33" s="110" t="s">
        <v>88</v>
      </c>
      <c r="J33" s="64" t="n">
        <f aca="false">$B$21*B22</f>
        <v>6475</v>
      </c>
      <c r="K33" s="44" t="n">
        <f aca="false">J33</f>
        <v>6475</v>
      </c>
      <c r="L33" s="45" t="n">
        <f aca="false">K33</f>
        <v>6475</v>
      </c>
    </row>
    <row r="34" customFormat="false" ht="12.8" hidden="false" customHeight="false" outlineLevel="0" collapsed="false">
      <c r="A34" s="7" t="s">
        <v>89</v>
      </c>
      <c r="B34" s="123"/>
      <c r="C34" s="123"/>
      <c r="D34" s="123"/>
      <c r="I34" s="124" t="s">
        <v>90</v>
      </c>
      <c r="J34" s="125" t="n">
        <f aca="false">J31+J33-J30</f>
        <v>4821.4</v>
      </c>
      <c r="K34" s="125" t="n">
        <f aca="false">K31+K33-K30</f>
        <v>8571.4</v>
      </c>
      <c r="L34" s="126" t="n">
        <f aca="false">L31+L33-L30</f>
        <v>12321.4</v>
      </c>
    </row>
    <row r="35" customFormat="false" ht="12.8" hidden="false" customHeight="false" outlineLevel="0" collapsed="false">
      <c r="A35" s="123"/>
      <c r="B35" s="123"/>
      <c r="C35" s="123"/>
      <c r="D35" s="123"/>
      <c r="I35" s="0"/>
      <c r="J35" s="0"/>
      <c r="K35" s="127"/>
      <c r="L35" s="127"/>
      <c r="M35" s="127"/>
    </row>
    <row r="36" customFormat="false" ht="12.8" hidden="false" customHeight="false" outlineLevel="0" collapsed="false">
      <c r="A36" s="7" t="s">
        <v>15</v>
      </c>
      <c r="B36" s="123"/>
      <c r="C36" s="123"/>
      <c r="D36" s="123"/>
      <c r="I36" s="128" t="s">
        <v>91</v>
      </c>
    </row>
    <row r="37" customFormat="false" ht="12.8" hidden="false" customHeight="false" outlineLevel="0" collapsed="false">
      <c r="A37" s="129" t="s">
        <v>18</v>
      </c>
      <c r="B37" s="129" t="s">
        <v>19</v>
      </c>
      <c r="C37" s="123" t="s">
        <v>20</v>
      </c>
      <c r="D37" s="123"/>
      <c r="I37" s="128" t="s">
        <v>92</v>
      </c>
    </row>
    <row r="38" customFormat="false" ht="12.8" hidden="false" customHeight="false" outlineLevel="0" collapsed="false">
      <c r="A38" s="130" t="n">
        <v>1500</v>
      </c>
      <c r="B38" s="131" t="n">
        <v>2500</v>
      </c>
      <c r="C38" s="123" t="s">
        <v>22</v>
      </c>
      <c r="D38" s="123"/>
    </row>
    <row r="39" customFormat="false" ht="12.8" hidden="false" customHeight="false" outlineLevel="0" collapsed="false">
      <c r="A39" s="130" t="n">
        <v>2000</v>
      </c>
      <c r="B39" s="132" t="n">
        <v>2729.16666666667</v>
      </c>
      <c r="C39" s="123" t="s">
        <v>93</v>
      </c>
      <c r="D39" s="123"/>
    </row>
    <row r="40" customFormat="false" ht="12.8" hidden="false" customHeight="false" outlineLevel="0" collapsed="false">
      <c r="A40" s="130" t="n">
        <v>2500</v>
      </c>
      <c r="B40" s="132" t="n">
        <v>2958.33333333333</v>
      </c>
      <c r="C40" s="123" t="s">
        <v>26</v>
      </c>
      <c r="D40" s="123"/>
    </row>
    <row r="41" customFormat="false" ht="12.8" hidden="false" customHeight="false" outlineLevel="0" collapsed="false">
      <c r="A41" s="7" t="s">
        <v>29</v>
      </c>
      <c r="B41" s="123"/>
      <c r="C41" s="123"/>
      <c r="D41" s="123"/>
    </row>
    <row r="42" customFormat="false" ht="12.8" hidden="false" customHeight="false" outlineLevel="0" collapsed="false">
      <c r="A42" s="133" t="s">
        <v>32</v>
      </c>
      <c r="B42" s="133" t="s">
        <v>33</v>
      </c>
      <c r="C42" s="133" t="s">
        <v>34</v>
      </c>
      <c r="D42" s="123"/>
    </row>
    <row r="43" customFormat="false" ht="12.8" hidden="false" customHeight="false" outlineLevel="0" collapsed="false">
      <c r="A43" s="131" t="n">
        <v>7.5</v>
      </c>
      <c r="B43" s="131" t="n">
        <v>3.5</v>
      </c>
      <c r="C43" s="131" t="n">
        <v>5.5</v>
      </c>
      <c r="D43" s="123"/>
    </row>
    <row r="44" customFormat="false" ht="12.8" hidden="false" customHeight="false" outlineLevel="0" collapsed="false">
      <c r="A44" s="7" t="s">
        <v>37</v>
      </c>
      <c r="B44" s="123"/>
      <c r="C44" s="123"/>
      <c r="D44" s="123"/>
    </row>
    <row r="45" customFormat="false" ht="12.8" hidden="false" customHeight="false" outlineLevel="0" collapsed="false">
      <c r="A45" s="134" t="s">
        <v>40</v>
      </c>
      <c r="B45" s="129" t="s">
        <v>41</v>
      </c>
      <c r="C45" s="134" t="s">
        <v>42</v>
      </c>
      <c r="D45" s="123"/>
    </row>
    <row r="46" customFormat="false" ht="12.8" hidden="false" customHeight="false" outlineLevel="0" collapsed="false">
      <c r="A46" s="129" t="s">
        <v>45</v>
      </c>
      <c r="B46" s="135" t="s">
        <v>46</v>
      </c>
      <c r="C46" s="129" t="s">
        <v>47</v>
      </c>
      <c r="D46" s="123"/>
    </row>
    <row r="47" customFormat="false" ht="12.8" hidden="false" customHeight="false" outlineLevel="0" collapsed="false">
      <c r="A47" s="131" t="n">
        <v>13</v>
      </c>
      <c r="B47" s="131" t="n">
        <v>0.6</v>
      </c>
      <c r="C47" s="130" t="n">
        <v>7.8</v>
      </c>
      <c r="D47" s="123"/>
    </row>
    <row r="50" customFormat="false" ht="12.8" hidden="false" customHeight="false" outlineLevel="0" collapsed="false">
      <c r="A50" s="2" t="s">
        <v>94</v>
      </c>
      <c r="H50" s="0" t="s">
        <v>95</v>
      </c>
    </row>
    <row r="51" customFormat="false" ht="12.8" hidden="false" customHeight="false" outlineLevel="0" collapsed="false">
      <c r="A51" s="0" t="s">
        <v>96</v>
      </c>
      <c r="B51" s="128" t="s">
        <v>97</v>
      </c>
      <c r="H51" s="0" t="s">
        <v>98</v>
      </c>
    </row>
    <row r="52" customFormat="false" ht="12.8" hidden="false" customHeight="false" outlineLevel="0" collapsed="false">
      <c r="A52" s="0" t="s">
        <v>99</v>
      </c>
      <c r="B52" s="128" t="s">
        <v>100</v>
      </c>
      <c r="H52" s="136" t="s">
        <v>101</v>
      </c>
    </row>
  </sheetData>
  <sheetProtection sheet="true" password="cc00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</TotalTime>
  <Application>LibreOffice/5.0.5.2$Windows_X86_64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2016-03-26T07:03:47Z</dcterms:created>
  <dc:language>sv-SE</dc:language>
  <dcterms:modified xsi:type="dcterms:W3CDTF">2016-04-12T11:49:44Z</dcterms:modified>
  <cp:revision>29</cp:revision>
</cp:coreProperties>
</file>